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0005" windowHeight="10005" activeTab="0"/>
  </bookViews>
  <sheets>
    <sheet name="Computations" sheetId="1" r:id="rId1"/>
    <sheet name="St. Clair River Map" sheetId="2" r:id="rId2"/>
    <sheet name="Detroit River Map" sheetId="3" r:id="rId3"/>
    <sheet name="Documentation" sheetId="4" r:id="rId4"/>
  </sheets>
  <definedNames/>
  <calcPr fullCalcOnLoad="1"/>
</workbook>
</file>

<file path=xl/sharedStrings.xml><?xml version="1.0" encoding="utf-8"?>
<sst xmlns="http://schemas.openxmlformats.org/spreadsheetml/2006/main" count="173" uniqueCount="100">
  <si>
    <t>Headwaters of St. Clair River</t>
  </si>
  <si>
    <t>Mouth of Black River</t>
  </si>
  <si>
    <t>Mouth of Pine River</t>
  </si>
  <si>
    <t>Mouth of Belle River</t>
  </si>
  <si>
    <t>Mouth of Sydenham River</t>
  </si>
  <si>
    <t>Mouth of Thames River</t>
  </si>
  <si>
    <t>Mouth of Clinton River</t>
  </si>
  <si>
    <t>Net inflow from Lake St. Clair</t>
  </si>
  <si>
    <t>Mouth of River Rouge</t>
  </si>
  <si>
    <t>Standard</t>
  </si>
  <si>
    <t>Expected</t>
  </si>
  <si>
    <t>Lo 95% CL</t>
  </si>
  <si>
    <t>Up 95% CL</t>
  </si>
  <si>
    <t>Approximate</t>
  </si>
  <si>
    <t>Cross</t>
  </si>
  <si>
    <t>Error of</t>
  </si>
  <si>
    <t>Fixed Flow</t>
  </si>
  <si>
    <t>variance</t>
  </si>
  <si>
    <t>Random Flow</t>
  </si>
  <si>
    <t>River-Branch</t>
  </si>
  <si>
    <t>section</t>
  </si>
  <si>
    <t>Proportion</t>
  </si>
  <si>
    <t>Prediction</t>
  </si>
  <si>
    <t>ratio</t>
  </si>
  <si>
    <t>St. Clair River</t>
  </si>
  <si>
    <t>Stag Island East</t>
  </si>
  <si>
    <t>CS-208</t>
  </si>
  <si>
    <t>--</t>
  </si>
  <si>
    <t>Stag Island West</t>
  </si>
  <si>
    <t>CS-210</t>
  </si>
  <si>
    <t>Fawn Island West</t>
  </si>
  <si>
    <t>CS-216</t>
  </si>
  <si>
    <t>Fawn Island East</t>
  </si>
  <si>
    <t>CS-218</t>
  </si>
  <si>
    <t>Chenal Ecarte</t>
  </si>
  <si>
    <t>CS-222</t>
  </si>
  <si>
    <t>Mouth of St. Clair River</t>
  </si>
  <si>
    <t>CS-230</t>
  </si>
  <si>
    <t>South Channel</t>
  </si>
  <si>
    <t>CS-232</t>
  </si>
  <si>
    <t>North Channel</t>
  </si>
  <si>
    <t>CS-240</t>
  </si>
  <si>
    <t>Middle Channel</t>
  </si>
  <si>
    <t>CS-242</t>
  </si>
  <si>
    <t>Bassett Channel</t>
  </si>
  <si>
    <t>CS-234</t>
  </si>
  <si>
    <t>St. Clair Cutoff</t>
  </si>
  <si>
    <t>CS-236</t>
  </si>
  <si>
    <t>St. Clair Flats Canal</t>
  </si>
  <si>
    <t>CS-238</t>
  </si>
  <si>
    <t>Detroit River</t>
  </si>
  <si>
    <t>Peche Island North</t>
  </si>
  <si>
    <t>CS-003</t>
  </si>
  <si>
    <t>Peche Island South</t>
  </si>
  <si>
    <t>CS-008</t>
  </si>
  <si>
    <t>Scott Middle Ground</t>
  </si>
  <si>
    <t>CS-015</t>
  </si>
  <si>
    <t>Fleming Channel</t>
  </si>
  <si>
    <t>CS-029</t>
  </si>
  <si>
    <t>American Grassy Island</t>
  </si>
  <si>
    <t>CS-100</t>
  </si>
  <si>
    <t>Fighting Island Channel</t>
  </si>
  <si>
    <t>CS-101</t>
  </si>
  <si>
    <t>Canadian Grassy Island</t>
  </si>
  <si>
    <t>CS-102</t>
  </si>
  <si>
    <t>Trenton Channel</t>
  </si>
  <si>
    <t>CS-120</t>
  </si>
  <si>
    <t>Grosse Ile-Stony Island</t>
  </si>
  <si>
    <t>CS-121</t>
  </si>
  <si>
    <t>Upstream Livingstone</t>
  </si>
  <si>
    <t>CS-122</t>
  </si>
  <si>
    <t>Upstream Amherstburg</t>
  </si>
  <si>
    <t>CS-123</t>
  </si>
  <si>
    <t>Amherstburg Gap</t>
  </si>
  <si>
    <t>CS-143</t>
  </si>
  <si>
    <t>Downstream Amherstburg</t>
  </si>
  <si>
    <t>CS-165</t>
  </si>
  <si>
    <t>Livingstone Gap East</t>
  </si>
  <si>
    <t>CS-142</t>
  </si>
  <si>
    <t>Bois Blanc Dike</t>
  </si>
  <si>
    <t>CS-164</t>
  </si>
  <si>
    <t>Livingstone Gap West</t>
  </si>
  <si>
    <t>CS-141</t>
  </si>
  <si>
    <t>Downstream Livingstone</t>
  </si>
  <si>
    <t>CS-163</t>
  </si>
  <si>
    <t>Sugar Island Grosse Ile</t>
  </si>
  <si>
    <t>CS-161</t>
  </si>
  <si>
    <t>Sugar Island Dike</t>
  </si>
  <si>
    <t>CS-162</t>
  </si>
  <si>
    <t>Inflow within  valid range</t>
  </si>
  <si>
    <t>Plausible Range of Inflows</t>
  </si>
  <si>
    <t xml:space="preserve">The computations in this workbook are based on the report indicated below.   </t>
  </si>
  <si>
    <t>Increment inflow</t>
  </si>
  <si>
    <t>SOURCE OF INFLOW</t>
  </si>
  <si>
    <t>Specify inflow (ft3/s)</t>
  </si>
  <si>
    <t>Reference inflow (ft3/s)</t>
  </si>
  <si>
    <t>Minimum inflow (ft3/s)</t>
  </si>
  <si>
    <t>Maximum inflow (ft3/s)</t>
  </si>
  <si>
    <t>(ft3/s)</t>
  </si>
  <si>
    <t>Steady-State Flow Distribution in Selected Branches of St. Clair and Detroit Rivers in the Great Lakes Waterway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</si>
</sst>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0.0000"/>
    <numFmt numFmtId="169" formatCode="0.00000"/>
    <numFmt numFmtId="170" formatCode="_(* #,##0.0000_);_(* \(#,##0.0000\);_(* &quot;-&quot;??_);_(@_)"/>
    <numFmt numFmtId="171" formatCode="_(* #,##0.00000_);_(* \(#,##0.00000\);_(* &quot;-&quot;??_);_(@_)"/>
    <numFmt numFmtId="172" formatCode="m/d/yyyy"/>
  </numFmts>
  <fonts count="8">
    <font>
      <sz val="10"/>
      <name val="Arial"/>
      <family val="0"/>
    </font>
    <font>
      <b/>
      <sz val="14"/>
      <color indexed="8"/>
      <name val="Arial"/>
      <family val="2"/>
    </font>
    <font>
      <sz val="10"/>
      <color indexed="8"/>
      <name val="Arial"/>
      <family val="2"/>
    </font>
    <font>
      <b/>
      <sz val="10"/>
      <color indexed="8"/>
      <name val="Arial"/>
      <family val="2"/>
    </font>
    <font>
      <b/>
      <sz val="10"/>
      <color indexed="57"/>
      <name val="Arial"/>
      <family val="2"/>
    </font>
    <font>
      <b/>
      <sz val="10"/>
      <name val="Arial"/>
      <family val="2"/>
    </font>
    <font>
      <sz val="14"/>
      <name val="Arial"/>
      <family val="2"/>
    </font>
    <font>
      <sz val="11"/>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left"/>
      <protection/>
    </xf>
    <xf numFmtId="167" fontId="4" fillId="2" borderId="0" xfId="0" applyNumberFormat="1" applyFont="1" applyFill="1" applyAlignment="1" applyProtection="1">
      <alignment/>
      <protection locked="0"/>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168" fontId="2" fillId="0" borderId="0" xfId="0" applyNumberFormat="1" applyFont="1" applyAlignment="1" applyProtection="1">
      <alignment horizontal="center"/>
      <protection/>
    </xf>
    <xf numFmtId="169" fontId="2" fillId="0" borderId="0" xfId="0" applyNumberFormat="1" applyFont="1" applyAlignment="1" applyProtection="1">
      <alignment horizontal="center"/>
      <protection/>
    </xf>
    <xf numFmtId="167" fontId="2" fillId="0" borderId="0" xfId="0" applyNumberFormat="1" applyFont="1" applyAlignment="1" applyProtection="1">
      <alignment/>
      <protection/>
    </xf>
    <xf numFmtId="0" fontId="2" fillId="0" borderId="0" xfId="0" applyFont="1" applyAlignment="1" applyProtection="1" quotePrefix="1">
      <alignment horizontal="center"/>
      <protection/>
    </xf>
    <xf numFmtId="167" fontId="2" fillId="0" borderId="0" xfId="0" applyNumberFormat="1" applyFont="1" applyAlignment="1" applyProtection="1">
      <alignment horizontal="center"/>
      <protection/>
    </xf>
    <xf numFmtId="3" fontId="2" fillId="0" borderId="0" xfId="0" applyNumberFormat="1" applyFont="1" applyAlignment="1" applyProtection="1">
      <alignment/>
      <protection/>
    </xf>
    <xf numFmtId="0" fontId="3" fillId="0" borderId="0" xfId="0" applyFont="1" applyAlignment="1" applyProtection="1">
      <alignment horizontal="center" wrapText="1"/>
      <protection/>
    </xf>
    <xf numFmtId="0" fontId="3" fillId="0" borderId="0" xfId="0" applyFont="1" applyAlignment="1" applyProtection="1">
      <alignment horizontal="centerContinuous"/>
      <protection/>
    </xf>
    <xf numFmtId="0" fontId="0" fillId="0" borderId="0" xfId="0" applyAlignment="1" applyProtection="1">
      <alignment/>
      <protection/>
    </xf>
    <xf numFmtId="0" fontId="3" fillId="0" borderId="0" xfId="0" applyFont="1" applyAlignment="1" applyProtection="1">
      <alignment horizontal="center" wrapText="1"/>
      <protection/>
    </xf>
    <xf numFmtId="0" fontId="5" fillId="0" borderId="0" xfId="0" applyFont="1" applyAlignment="1" applyProtection="1">
      <alignment horizontal="center"/>
      <protection/>
    </xf>
    <xf numFmtId="0" fontId="1" fillId="0" borderId="0" xfId="0" applyFont="1" applyAlignment="1" applyProtection="1">
      <alignment horizontal="centerContinuous"/>
      <protection/>
    </xf>
    <xf numFmtId="0" fontId="2" fillId="0" borderId="0" xfId="0" applyFont="1" applyAlignment="1" applyProtection="1">
      <alignment horizontal="centerContinuous"/>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3</xdr:row>
      <xdr:rowOff>47625</xdr:rowOff>
    </xdr:from>
    <xdr:to>
      <xdr:col>6</xdr:col>
      <xdr:colOff>695325</xdr:colOff>
      <xdr:row>3</xdr:row>
      <xdr:rowOff>209550</xdr:rowOff>
    </xdr:to>
    <xdr:pic>
      <xdr:nvPicPr>
        <xdr:cNvPr id="1" name="SpinButtonQsc"/>
        <xdr:cNvPicPr preferRelativeResize="1">
          <a:picLocks noChangeAspect="1"/>
        </xdr:cNvPicPr>
      </xdr:nvPicPr>
      <xdr:blipFill>
        <a:blip r:embed="rId1"/>
        <a:stretch>
          <a:fillRect/>
        </a:stretch>
      </xdr:blipFill>
      <xdr:spPr>
        <a:xfrm>
          <a:off x="5334000" y="1009650"/>
          <a:ext cx="590550" cy="161925"/>
        </a:xfrm>
        <a:prstGeom prst="rect">
          <a:avLst/>
        </a:prstGeom>
        <a:noFill/>
        <a:ln w="9525" cmpd="sng">
          <a:noFill/>
        </a:ln>
      </xdr:spPr>
    </xdr:pic>
    <xdr:clientData/>
  </xdr:twoCellAnchor>
  <xdr:twoCellAnchor editAs="oneCell">
    <xdr:from>
      <xdr:col>6</xdr:col>
      <xdr:colOff>104775</xdr:colOff>
      <xdr:row>4</xdr:row>
      <xdr:rowOff>47625</xdr:rowOff>
    </xdr:from>
    <xdr:to>
      <xdr:col>6</xdr:col>
      <xdr:colOff>695325</xdr:colOff>
      <xdr:row>4</xdr:row>
      <xdr:rowOff>209550</xdr:rowOff>
    </xdr:to>
    <xdr:pic>
      <xdr:nvPicPr>
        <xdr:cNvPr id="2" name="SpinButtonQbl"/>
        <xdr:cNvPicPr preferRelativeResize="1">
          <a:picLocks noChangeAspect="1"/>
        </xdr:cNvPicPr>
      </xdr:nvPicPr>
      <xdr:blipFill>
        <a:blip r:embed="rId1"/>
        <a:stretch>
          <a:fillRect/>
        </a:stretch>
      </xdr:blipFill>
      <xdr:spPr>
        <a:xfrm>
          <a:off x="5334000" y="1257300"/>
          <a:ext cx="590550" cy="161925"/>
        </a:xfrm>
        <a:prstGeom prst="rect">
          <a:avLst/>
        </a:prstGeom>
        <a:noFill/>
        <a:ln w="9525" cmpd="sng">
          <a:noFill/>
        </a:ln>
      </xdr:spPr>
    </xdr:pic>
    <xdr:clientData/>
  </xdr:twoCellAnchor>
  <xdr:twoCellAnchor editAs="oneCell">
    <xdr:from>
      <xdr:col>6</xdr:col>
      <xdr:colOff>104775</xdr:colOff>
      <xdr:row>5</xdr:row>
      <xdr:rowOff>47625</xdr:rowOff>
    </xdr:from>
    <xdr:to>
      <xdr:col>6</xdr:col>
      <xdr:colOff>695325</xdr:colOff>
      <xdr:row>5</xdr:row>
      <xdr:rowOff>209550</xdr:rowOff>
    </xdr:to>
    <xdr:pic>
      <xdr:nvPicPr>
        <xdr:cNvPr id="3" name="SpinButtonQpi"/>
        <xdr:cNvPicPr preferRelativeResize="1">
          <a:picLocks noChangeAspect="1"/>
        </xdr:cNvPicPr>
      </xdr:nvPicPr>
      <xdr:blipFill>
        <a:blip r:embed="rId1"/>
        <a:stretch>
          <a:fillRect/>
        </a:stretch>
      </xdr:blipFill>
      <xdr:spPr>
        <a:xfrm>
          <a:off x="5334000" y="1504950"/>
          <a:ext cx="590550" cy="161925"/>
        </a:xfrm>
        <a:prstGeom prst="rect">
          <a:avLst/>
        </a:prstGeom>
        <a:noFill/>
        <a:ln w="9525" cmpd="sng">
          <a:noFill/>
        </a:ln>
      </xdr:spPr>
    </xdr:pic>
    <xdr:clientData/>
  </xdr:twoCellAnchor>
  <xdr:twoCellAnchor editAs="oneCell">
    <xdr:from>
      <xdr:col>6</xdr:col>
      <xdr:colOff>104775</xdr:colOff>
      <xdr:row>6</xdr:row>
      <xdr:rowOff>47625</xdr:rowOff>
    </xdr:from>
    <xdr:to>
      <xdr:col>6</xdr:col>
      <xdr:colOff>695325</xdr:colOff>
      <xdr:row>6</xdr:row>
      <xdr:rowOff>209550</xdr:rowOff>
    </xdr:to>
    <xdr:pic>
      <xdr:nvPicPr>
        <xdr:cNvPr id="4" name="SpinButtonQbe"/>
        <xdr:cNvPicPr preferRelativeResize="1">
          <a:picLocks noChangeAspect="1"/>
        </xdr:cNvPicPr>
      </xdr:nvPicPr>
      <xdr:blipFill>
        <a:blip r:embed="rId1"/>
        <a:stretch>
          <a:fillRect/>
        </a:stretch>
      </xdr:blipFill>
      <xdr:spPr>
        <a:xfrm>
          <a:off x="5334000" y="1752600"/>
          <a:ext cx="590550" cy="161925"/>
        </a:xfrm>
        <a:prstGeom prst="rect">
          <a:avLst/>
        </a:prstGeom>
        <a:noFill/>
        <a:ln w="9525" cmpd="sng">
          <a:noFill/>
        </a:ln>
      </xdr:spPr>
    </xdr:pic>
    <xdr:clientData/>
  </xdr:twoCellAnchor>
  <xdr:twoCellAnchor editAs="oneCell">
    <xdr:from>
      <xdr:col>6</xdr:col>
      <xdr:colOff>104775</xdr:colOff>
      <xdr:row>7</xdr:row>
      <xdr:rowOff>47625</xdr:rowOff>
    </xdr:from>
    <xdr:to>
      <xdr:col>6</xdr:col>
      <xdr:colOff>695325</xdr:colOff>
      <xdr:row>7</xdr:row>
      <xdr:rowOff>209550</xdr:rowOff>
    </xdr:to>
    <xdr:pic>
      <xdr:nvPicPr>
        <xdr:cNvPr id="5" name="SpinButtonQsy"/>
        <xdr:cNvPicPr preferRelativeResize="1">
          <a:picLocks noChangeAspect="1"/>
        </xdr:cNvPicPr>
      </xdr:nvPicPr>
      <xdr:blipFill>
        <a:blip r:embed="rId1"/>
        <a:stretch>
          <a:fillRect/>
        </a:stretch>
      </xdr:blipFill>
      <xdr:spPr>
        <a:xfrm>
          <a:off x="5334000" y="2000250"/>
          <a:ext cx="590550" cy="161925"/>
        </a:xfrm>
        <a:prstGeom prst="rect">
          <a:avLst/>
        </a:prstGeom>
        <a:noFill/>
        <a:ln w="9525" cmpd="sng">
          <a:noFill/>
        </a:ln>
      </xdr:spPr>
    </xdr:pic>
    <xdr:clientData/>
  </xdr:twoCellAnchor>
  <xdr:twoCellAnchor editAs="oneCell">
    <xdr:from>
      <xdr:col>6</xdr:col>
      <xdr:colOff>104775</xdr:colOff>
      <xdr:row>8</xdr:row>
      <xdr:rowOff>47625</xdr:rowOff>
    </xdr:from>
    <xdr:to>
      <xdr:col>6</xdr:col>
      <xdr:colOff>695325</xdr:colOff>
      <xdr:row>8</xdr:row>
      <xdr:rowOff>209550</xdr:rowOff>
    </xdr:to>
    <xdr:pic>
      <xdr:nvPicPr>
        <xdr:cNvPr id="6" name="SpinButtonQth"/>
        <xdr:cNvPicPr preferRelativeResize="1">
          <a:picLocks noChangeAspect="1"/>
        </xdr:cNvPicPr>
      </xdr:nvPicPr>
      <xdr:blipFill>
        <a:blip r:embed="rId1"/>
        <a:stretch>
          <a:fillRect/>
        </a:stretch>
      </xdr:blipFill>
      <xdr:spPr>
        <a:xfrm>
          <a:off x="5334000" y="2247900"/>
          <a:ext cx="590550" cy="161925"/>
        </a:xfrm>
        <a:prstGeom prst="rect">
          <a:avLst/>
        </a:prstGeom>
        <a:noFill/>
        <a:ln w="9525" cmpd="sng">
          <a:noFill/>
        </a:ln>
      </xdr:spPr>
    </xdr:pic>
    <xdr:clientData/>
  </xdr:twoCellAnchor>
  <xdr:twoCellAnchor editAs="oneCell">
    <xdr:from>
      <xdr:col>6</xdr:col>
      <xdr:colOff>104775</xdr:colOff>
      <xdr:row>9</xdr:row>
      <xdr:rowOff>47625</xdr:rowOff>
    </xdr:from>
    <xdr:to>
      <xdr:col>6</xdr:col>
      <xdr:colOff>695325</xdr:colOff>
      <xdr:row>9</xdr:row>
      <xdr:rowOff>209550</xdr:rowOff>
    </xdr:to>
    <xdr:pic>
      <xdr:nvPicPr>
        <xdr:cNvPr id="7" name="SpinButtonQcl"/>
        <xdr:cNvPicPr preferRelativeResize="1">
          <a:picLocks noChangeAspect="1"/>
        </xdr:cNvPicPr>
      </xdr:nvPicPr>
      <xdr:blipFill>
        <a:blip r:embed="rId1"/>
        <a:stretch>
          <a:fillRect/>
        </a:stretch>
      </xdr:blipFill>
      <xdr:spPr>
        <a:xfrm>
          <a:off x="5334000" y="2495550"/>
          <a:ext cx="590550" cy="161925"/>
        </a:xfrm>
        <a:prstGeom prst="rect">
          <a:avLst/>
        </a:prstGeom>
        <a:noFill/>
        <a:ln w="9525" cmpd="sng">
          <a:noFill/>
        </a:ln>
      </xdr:spPr>
    </xdr:pic>
    <xdr:clientData/>
  </xdr:twoCellAnchor>
  <xdr:twoCellAnchor editAs="oneCell">
    <xdr:from>
      <xdr:col>6</xdr:col>
      <xdr:colOff>104775</xdr:colOff>
      <xdr:row>10</xdr:row>
      <xdr:rowOff>47625</xdr:rowOff>
    </xdr:from>
    <xdr:to>
      <xdr:col>6</xdr:col>
      <xdr:colOff>695325</xdr:colOff>
      <xdr:row>10</xdr:row>
      <xdr:rowOff>209550</xdr:rowOff>
    </xdr:to>
    <xdr:pic>
      <xdr:nvPicPr>
        <xdr:cNvPr id="8" name="SpinButtonQlsc"/>
        <xdr:cNvPicPr preferRelativeResize="1">
          <a:picLocks noChangeAspect="1"/>
        </xdr:cNvPicPr>
      </xdr:nvPicPr>
      <xdr:blipFill>
        <a:blip r:embed="rId1"/>
        <a:stretch>
          <a:fillRect/>
        </a:stretch>
      </xdr:blipFill>
      <xdr:spPr>
        <a:xfrm>
          <a:off x="5334000" y="2743200"/>
          <a:ext cx="590550" cy="161925"/>
        </a:xfrm>
        <a:prstGeom prst="rect">
          <a:avLst/>
        </a:prstGeom>
        <a:noFill/>
        <a:ln w="9525" cmpd="sng">
          <a:noFill/>
        </a:ln>
      </xdr:spPr>
    </xdr:pic>
    <xdr:clientData/>
  </xdr:twoCellAnchor>
  <xdr:twoCellAnchor editAs="oneCell">
    <xdr:from>
      <xdr:col>6</xdr:col>
      <xdr:colOff>104775</xdr:colOff>
      <xdr:row>11</xdr:row>
      <xdr:rowOff>47625</xdr:rowOff>
    </xdr:from>
    <xdr:to>
      <xdr:col>6</xdr:col>
      <xdr:colOff>695325</xdr:colOff>
      <xdr:row>11</xdr:row>
      <xdr:rowOff>209550</xdr:rowOff>
    </xdr:to>
    <xdr:pic>
      <xdr:nvPicPr>
        <xdr:cNvPr id="9" name="SpinButtonQro"/>
        <xdr:cNvPicPr preferRelativeResize="1">
          <a:picLocks noChangeAspect="1"/>
        </xdr:cNvPicPr>
      </xdr:nvPicPr>
      <xdr:blipFill>
        <a:blip r:embed="rId1"/>
        <a:stretch>
          <a:fillRect/>
        </a:stretch>
      </xdr:blipFill>
      <xdr:spPr>
        <a:xfrm>
          <a:off x="5334000" y="2990850"/>
          <a:ext cx="590550" cy="161925"/>
        </a:xfrm>
        <a:prstGeom prst="rect">
          <a:avLst/>
        </a:prstGeom>
        <a:noFill/>
        <a:ln w="9525" cmpd="sng">
          <a:noFill/>
        </a:ln>
      </xdr:spPr>
    </xdr:pic>
    <xdr:clientData/>
  </xdr:twoCellAnchor>
  <xdr:twoCellAnchor>
    <xdr:from>
      <xdr:col>1</xdr:col>
      <xdr:colOff>171450</xdr:colOff>
      <xdr:row>2</xdr:row>
      <xdr:rowOff>257175</xdr:rowOff>
    </xdr:from>
    <xdr:to>
      <xdr:col>4</xdr:col>
      <xdr:colOff>552450</xdr:colOff>
      <xdr:row>12</xdr:row>
      <xdr:rowOff>38100</xdr:rowOff>
    </xdr:to>
    <xdr:sp>
      <xdr:nvSpPr>
        <xdr:cNvPr id="10" name="TextBox 12"/>
        <xdr:cNvSpPr txBox="1">
          <a:spLocks noChangeArrowheads="1"/>
        </xdr:cNvSpPr>
      </xdr:nvSpPr>
      <xdr:spPr>
        <a:xfrm>
          <a:off x="1781175" y="704850"/>
          <a:ext cx="2486025" cy="2524125"/>
        </a:xfrm>
        <a:prstGeom prst="rect">
          <a:avLst/>
        </a:prstGeom>
        <a:solidFill>
          <a:srgbClr val="CCFFFF"/>
        </a:solidFill>
        <a:ln w="9525" cmpd="sng">
          <a:noFill/>
        </a:ln>
      </xdr:spPr>
      <xdr:txBody>
        <a:bodyPr vertOverflow="clip" wrap="square" lIns="91440" tIns="45720" rIns="91440" bIns="45720"/>
        <a:p>
          <a:pPr algn="l">
            <a:defRPr/>
          </a:pPr>
          <a:r>
            <a:rPr lang="en-US" cap="none" sz="1100" b="0" i="0" u="none" baseline="0">
              <a:latin typeface="Arial"/>
              <a:ea typeface="Arial"/>
              <a:cs typeface="Arial"/>
            </a:rPr>
            <a:t>This spreadsheet calculates the expected proportions and flows for selected branches of St. Clair and Detroit River based on inflows specified by the user in the yellow region.  Inflows can be specified directly by typing in the yellow region or indirectly by clicking on the controls to the right of the specification.  The user is warned if specified inflows are outside the plausible region.  Flows are in units of cubic feet per second (ft3/s).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xdr:row>
      <xdr:rowOff>85725</xdr:rowOff>
    </xdr:from>
    <xdr:to>
      <xdr:col>9</xdr:col>
      <xdr:colOff>161925</xdr:colOff>
      <xdr:row>50</xdr:row>
      <xdr:rowOff>114300</xdr:rowOff>
    </xdr:to>
    <xdr:pic>
      <xdr:nvPicPr>
        <xdr:cNvPr id="1" name="Picture 1"/>
        <xdr:cNvPicPr preferRelativeResize="1">
          <a:picLocks noChangeAspect="1"/>
        </xdr:cNvPicPr>
      </xdr:nvPicPr>
      <xdr:blipFill>
        <a:blip r:embed="rId1"/>
        <a:stretch>
          <a:fillRect/>
        </a:stretch>
      </xdr:blipFill>
      <xdr:spPr>
        <a:xfrm>
          <a:off x="619125" y="895350"/>
          <a:ext cx="5029200" cy="7315200"/>
        </a:xfrm>
        <a:prstGeom prst="rect">
          <a:avLst/>
        </a:prstGeom>
        <a:noFill/>
        <a:ln w="9525" cmpd="sng">
          <a:noFill/>
        </a:ln>
      </xdr:spPr>
    </xdr:pic>
    <xdr:clientData/>
  </xdr:twoCellAnchor>
  <xdr:oneCellAnchor>
    <xdr:from>
      <xdr:col>1</xdr:col>
      <xdr:colOff>9525</xdr:colOff>
      <xdr:row>1</xdr:row>
      <xdr:rowOff>38100</xdr:rowOff>
    </xdr:from>
    <xdr:ext cx="5057775" cy="581025"/>
    <xdr:sp>
      <xdr:nvSpPr>
        <xdr:cNvPr id="2" name="TextBox 2"/>
        <xdr:cNvSpPr txBox="1">
          <a:spLocks noChangeArrowheads="1"/>
        </xdr:cNvSpPr>
      </xdr:nvSpPr>
      <xdr:spPr>
        <a:xfrm>
          <a:off x="619125" y="200025"/>
          <a:ext cx="5057775" cy="58102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Locations of selected flow measurement cross-sections on 
St. Clair River within the Great Lakes waterway.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4</xdr:row>
      <xdr:rowOff>152400</xdr:rowOff>
    </xdr:from>
    <xdr:to>
      <xdr:col>9</xdr:col>
      <xdr:colOff>0</xdr:colOff>
      <xdr:row>47</xdr:row>
      <xdr:rowOff>76200</xdr:rowOff>
    </xdr:to>
    <xdr:pic>
      <xdr:nvPicPr>
        <xdr:cNvPr id="1" name="Picture 1"/>
        <xdr:cNvPicPr preferRelativeResize="1">
          <a:picLocks noChangeAspect="1"/>
        </xdr:cNvPicPr>
      </xdr:nvPicPr>
      <xdr:blipFill>
        <a:blip r:embed="rId1"/>
        <a:stretch>
          <a:fillRect/>
        </a:stretch>
      </xdr:blipFill>
      <xdr:spPr>
        <a:xfrm>
          <a:off x="552450" y="800100"/>
          <a:ext cx="4933950" cy="6886575"/>
        </a:xfrm>
        <a:prstGeom prst="rect">
          <a:avLst/>
        </a:prstGeom>
        <a:noFill/>
        <a:ln w="9525" cmpd="sng">
          <a:noFill/>
        </a:ln>
      </xdr:spPr>
    </xdr:pic>
    <xdr:clientData/>
  </xdr:twoCellAnchor>
  <xdr:oneCellAnchor>
    <xdr:from>
      <xdr:col>0</xdr:col>
      <xdr:colOff>561975</xdr:colOff>
      <xdr:row>0</xdr:row>
      <xdr:rowOff>114300</xdr:rowOff>
    </xdr:from>
    <xdr:ext cx="5057775" cy="581025"/>
    <xdr:sp>
      <xdr:nvSpPr>
        <xdr:cNvPr id="2" name="TextBox 2"/>
        <xdr:cNvSpPr txBox="1">
          <a:spLocks noChangeArrowheads="1"/>
        </xdr:cNvSpPr>
      </xdr:nvSpPr>
      <xdr:spPr>
        <a:xfrm>
          <a:off x="561975" y="114300"/>
          <a:ext cx="5057775" cy="58102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Locations of selected flow measurement cross-sections on 
Detroit River within the Great Lakes waterway.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50"/>
  <sheetViews>
    <sheetView tabSelected="1" workbookViewId="0" topLeftCell="A1">
      <selection activeCell="K52" sqref="K52"/>
    </sheetView>
  </sheetViews>
  <sheetFormatPr defaultColWidth="9.140625" defaultRowHeight="12.75"/>
  <cols>
    <col min="1" max="1" width="24.140625" style="1" customWidth="1"/>
    <col min="2" max="2" width="9.140625" style="17" customWidth="1"/>
    <col min="3" max="3" width="10.28125" style="17" customWidth="1"/>
    <col min="4" max="4" width="12.140625" style="17" customWidth="1"/>
    <col min="5" max="5" width="11.421875" style="17" customWidth="1"/>
    <col min="6" max="6" width="11.28125" style="17" customWidth="1"/>
    <col min="7" max="7" width="11.421875" style="17" customWidth="1"/>
    <col min="8" max="8" width="12.140625" style="17" customWidth="1"/>
    <col min="9" max="9" width="11.7109375" style="17" customWidth="1"/>
    <col min="10" max="10" width="12.421875" style="17" customWidth="1"/>
    <col min="11" max="11" width="14.28125" style="17" customWidth="1"/>
    <col min="12" max="12" width="12.28125" style="17" customWidth="1"/>
    <col min="13" max="16384" width="9.140625" style="17" customWidth="1"/>
  </cols>
  <sheetData>
    <row r="1" spans="1:12" s="1" customFormat="1" ht="22.5" customHeight="1">
      <c r="A1" s="20" t="s">
        <v>99</v>
      </c>
      <c r="B1" s="20"/>
      <c r="C1" s="20"/>
      <c r="D1" s="20"/>
      <c r="E1" s="20"/>
      <c r="F1" s="20"/>
      <c r="G1" s="21"/>
      <c r="H1" s="21"/>
      <c r="I1" s="21"/>
      <c r="J1" s="21"/>
      <c r="K1" s="21"/>
      <c r="L1" s="21"/>
    </row>
    <row r="2" spans="1:12" s="1" customFormat="1" ht="12.75">
      <c r="A2" s="2"/>
      <c r="B2" s="2"/>
      <c r="C2" s="2"/>
      <c r="D2" s="2"/>
      <c r="E2" s="2"/>
      <c r="F2" s="2"/>
      <c r="G2" s="2"/>
      <c r="H2" s="3"/>
      <c r="I2" s="16" t="s">
        <v>90</v>
      </c>
      <c r="J2" s="16"/>
      <c r="K2" s="18" t="s">
        <v>89</v>
      </c>
      <c r="L2" s="2"/>
    </row>
    <row r="3" spans="1:12" s="1" customFormat="1" ht="40.5" customHeight="1">
      <c r="A3" s="3" t="s">
        <v>93</v>
      </c>
      <c r="B3" s="2"/>
      <c r="C3" s="2"/>
      <c r="D3" s="2"/>
      <c r="E3" s="2"/>
      <c r="F3" s="15" t="s">
        <v>94</v>
      </c>
      <c r="G3" s="15" t="s">
        <v>92</v>
      </c>
      <c r="H3" s="15" t="s">
        <v>95</v>
      </c>
      <c r="I3" s="15" t="s">
        <v>96</v>
      </c>
      <c r="J3" s="15" t="s">
        <v>97</v>
      </c>
      <c r="K3" s="19"/>
      <c r="L3" s="2"/>
    </row>
    <row r="4" spans="1:12" s="1" customFormat="1" ht="19.5" customHeight="1">
      <c r="A4" s="4" t="s">
        <v>0</v>
      </c>
      <c r="B4" s="4"/>
      <c r="C4" s="2"/>
      <c r="D4" s="2"/>
      <c r="E4" s="2"/>
      <c r="F4" s="5">
        <v>230000</v>
      </c>
      <c r="G4" s="5"/>
      <c r="H4" s="14">
        <v>180000</v>
      </c>
      <c r="I4" s="14">
        <v>170000</v>
      </c>
      <c r="J4" s="14">
        <v>230000</v>
      </c>
      <c r="K4" s="8" t="str">
        <f>IF(F4&lt;=J4,IF(F4&gt;=I4,"True","False"),"False")</f>
        <v>True</v>
      </c>
      <c r="L4" s="2"/>
    </row>
    <row r="5" spans="1:12" s="1" customFormat="1" ht="19.5" customHeight="1">
      <c r="A5" s="4" t="s">
        <v>1</v>
      </c>
      <c r="B5" s="2"/>
      <c r="C5" s="2"/>
      <c r="D5" s="2"/>
      <c r="E5" s="2"/>
      <c r="F5" s="5">
        <v>2000</v>
      </c>
      <c r="G5" s="5"/>
      <c r="H5" s="14">
        <v>490</v>
      </c>
      <c r="I5" s="14">
        <v>0</v>
      </c>
      <c r="J5" s="14">
        <v>2000</v>
      </c>
      <c r="K5" s="8" t="str">
        <f aca="true" t="shared" si="0" ref="K5:K12">IF(F5&lt;=J5,IF(F5&gt;=I5,"True","False"),"False")</f>
        <v>True</v>
      </c>
      <c r="L5" s="2"/>
    </row>
    <row r="6" spans="1:12" s="1" customFormat="1" ht="19.5" customHeight="1">
      <c r="A6" s="4" t="s">
        <v>2</v>
      </c>
      <c r="B6" s="2"/>
      <c r="C6" s="2"/>
      <c r="D6" s="2"/>
      <c r="E6" s="2"/>
      <c r="F6" s="5">
        <v>1000</v>
      </c>
      <c r="G6" s="5"/>
      <c r="H6" s="14">
        <v>120</v>
      </c>
      <c r="I6" s="14">
        <v>0</v>
      </c>
      <c r="J6" s="14">
        <v>1000</v>
      </c>
      <c r="K6" s="8" t="str">
        <f t="shared" si="0"/>
        <v>True</v>
      </c>
      <c r="L6" s="2"/>
    </row>
    <row r="7" spans="1:12" s="1" customFormat="1" ht="19.5" customHeight="1">
      <c r="A7" s="4" t="s">
        <v>3</v>
      </c>
      <c r="B7" s="2"/>
      <c r="C7" s="2"/>
      <c r="D7" s="2"/>
      <c r="E7" s="2"/>
      <c r="F7" s="5">
        <v>2000</v>
      </c>
      <c r="G7" s="5"/>
      <c r="H7" s="14">
        <v>480</v>
      </c>
      <c r="I7" s="14">
        <v>0</v>
      </c>
      <c r="J7" s="14">
        <v>2000</v>
      </c>
      <c r="K7" s="8" t="str">
        <f t="shared" si="0"/>
        <v>True</v>
      </c>
      <c r="L7" s="2"/>
    </row>
    <row r="8" spans="1:12" s="1" customFormat="1" ht="19.5" customHeight="1">
      <c r="A8" s="4" t="s">
        <v>4</v>
      </c>
      <c r="B8" s="2"/>
      <c r="C8" s="2"/>
      <c r="D8" s="2"/>
      <c r="E8" s="2"/>
      <c r="F8" s="5">
        <v>5000</v>
      </c>
      <c r="G8" s="5"/>
      <c r="H8" s="14">
        <v>1860</v>
      </c>
      <c r="I8" s="14">
        <v>500</v>
      </c>
      <c r="J8" s="14">
        <v>5000</v>
      </c>
      <c r="K8" s="8" t="str">
        <f t="shared" si="0"/>
        <v>True</v>
      </c>
      <c r="L8" s="2"/>
    </row>
    <row r="9" spans="1:12" s="1" customFormat="1" ht="19.5" customHeight="1">
      <c r="A9" s="4" t="s">
        <v>5</v>
      </c>
      <c r="B9" s="2"/>
      <c r="C9" s="2"/>
      <c r="D9" s="2"/>
      <c r="E9" s="2"/>
      <c r="F9" s="5">
        <v>10000</v>
      </c>
      <c r="G9" s="5"/>
      <c r="H9" s="14">
        <v>4800</v>
      </c>
      <c r="I9" s="14">
        <v>1000</v>
      </c>
      <c r="J9" s="14">
        <v>10000</v>
      </c>
      <c r="K9" s="8" t="str">
        <f t="shared" si="0"/>
        <v>True</v>
      </c>
      <c r="L9" s="2"/>
    </row>
    <row r="10" spans="1:12" s="1" customFormat="1" ht="19.5" customHeight="1">
      <c r="A10" s="4" t="s">
        <v>6</v>
      </c>
      <c r="B10" s="2"/>
      <c r="C10" s="2"/>
      <c r="D10" s="2"/>
      <c r="E10" s="2"/>
      <c r="F10" s="5">
        <v>5000</v>
      </c>
      <c r="G10" s="5"/>
      <c r="H10" s="14">
        <v>930</v>
      </c>
      <c r="I10" s="14">
        <v>0</v>
      </c>
      <c r="J10" s="14">
        <v>5000</v>
      </c>
      <c r="K10" s="8" t="str">
        <f t="shared" si="0"/>
        <v>True</v>
      </c>
      <c r="L10" s="2"/>
    </row>
    <row r="11" spans="1:12" s="1" customFormat="1" ht="19.5" customHeight="1">
      <c r="A11" s="4" t="s">
        <v>7</v>
      </c>
      <c r="B11" s="4"/>
      <c r="C11" s="2"/>
      <c r="D11" s="2"/>
      <c r="E11" s="2"/>
      <c r="F11" s="5">
        <v>2000</v>
      </c>
      <c r="G11" s="5"/>
      <c r="H11" s="14">
        <v>630</v>
      </c>
      <c r="I11" s="14">
        <v>0</v>
      </c>
      <c r="J11" s="14">
        <v>2000</v>
      </c>
      <c r="K11" s="8" t="str">
        <f t="shared" si="0"/>
        <v>True</v>
      </c>
      <c r="L11" s="2"/>
    </row>
    <row r="12" spans="1:12" s="1" customFormat="1" ht="19.5" customHeight="1">
      <c r="A12" s="4" t="s">
        <v>8</v>
      </c>
      <c r="B12" s="2"/>
      <c r="C12" s="2"/>
      <c r="D12" s="2"/>
      <c r="E12" s="2"/>
      <c r="F12" s="5">
        <v>2000</v>
      </c>
      <c r="G12" s="5"/>
      <c r="H12" s="14">
        <v>310</v>
      </c>
      <c r="I12" s="14">
        <v>0</v>
      </c>
      <c r="J12" s="14">
        <v>2000</v>
      </c>
      <c r="K12" s="8" t="str">
        <f t="shared" si="0"/>
        <v>True</v>
      </c>
      <c r="L12" s="2"/>
    </row>
    <row r="13" spans="1:12" s="1" customFormat="1" ht="12.75">
      <c r="A13" s="2"/>
      <c r="B13" s="2"/>
      <c r="C13" s="2"/>
      <c r="D13" s="2"/>
      <c r="E13" s="2"/>
      <c r="F13" s="2"/>
      <c r="G13" s="2"/>
      <c r="H13" s="2"/>
      <c r="I13" s="2"/>
      <c r="J13" s="2"/>
      <c r="K13" s="2"/>
      <c r="L13" s="2"/>
    </row>
    <row r="14" spans="1:12" s="1" customFormat="1" ht="12.75">
      <c r="A14" s="6"/>
      <c r="B14" s="6"/>
      <c r="C14" s="6"/>
      <c r="D14" s="6" t="s">
        <v>9</v>
      </c>
      <c r="E14" s="6"/>
      <c r="F14" s="6"/>
      <c r="G14" s="6" t="s">
        <v>10</v>
      </c>
      <c r="H14" s="6" t="s">
        <v>11</v>
      </c>
      <c r="I14" s="6" t="s">
        <v>12</v>
      </c>
      <c r="J14" s="6" t="s">
        <v>13</v>
      </c>
      <c r="K14" s="6" t="s">
        <v>11</v>
      </c>
      <c r="L14" s="6" t="s">
        <v>12</v>
      </c>
    </row>
    <row r="15" spans="1:12" s="1" customFormat="1" ht="12.75">
      <c r="A15" s="6"/>
      <c r="B15" s="6" t="s">
        <v>14</v>
      </c>
      <c r="C15" s="6" t="s">
        <v>10</v>
      </c>
      <c r="D15" s="6" t="s">
        <v>15</v>
      </c>
      <c r="E15" s="6" t="s">
        <v>11</v>
      </c>
      <c r="F15" s="6" t="s">
        <v>12</v>
      </c>
      <c r="G15" s="6" t="s">
        <v>16</v>
      </c>
      <c r="H15" s="6" t="s">
        <v>16</v>
      </c>
      <c r="I15" s="6" t="s">
        <v>16</v>
      </c>
      <c r="J15" s="6" t="s">
        <v>17</v>
      </c>
      <c r="K15" s="6" t="s">
        <v>18</v>
      </c>
      <c r="L15" s="6" t="s">
        <v>18</v>
      </c>
    </row>
    <row r="16" spans="1:12" s="1" customFormat="1" ht="12.75">
      <c r="A16" s="6" t="s">
        <v>19</v>
      </c>
      <c r="B16" s="6" t="s">
        <v>20</v>
      </c>
      <c r="C16" s="6" t="s">
        <v>21</v>
      </c>
      <c r="D16" s="6" t="s">
        <v>22</v>
      </c>
      <c r="E16" s="6" t="s">
        <v>21</v>
      </c>
      <c r="F16" s="6" t="s">
        <v>21</v>
      </c>
      <c r="G16" s="6" t="s">
        <v>98</v>
      </c>
      <c r="H16" s="6" t="s">
        <v>98</v>
      </c>
      <c r="I16" s="6" t="s">
        <v>98</v>
      </c>
      <c r="J16" s="6" t="s">
        <v>23</v>
      </c>
      <c r="K16" s="6" t="s">
        <v>98</v>
      </c>
      <c r="L16" s="6" t="s">
        <v>98</v>
      </c>
    </row>
    <row r="17" spans="1:12" s="1" customFormat="1" ht="12.75">
      <c r="A17" s="7" t="s">
        <v>24</v>
      </c>
      <c r="B17" s="6"/>
      <c r="C17" s="6"/>
      <c r="D17" s="6"/>
      <c r="E17" s="6"/>
      <c r="F17" s="6"/>
      <c r="G17" s="6"/>
      <c r="H17" s="6"/>
      <c r="I17" s="6"/>
      <c r="J17" s="6"/>
      <c r="K17" s="6"/>
      <c r="L17" s="6"/>
    </row>
    <row r="18" spans="1:12" s="1" customFormat="1" ht="12.75">
      <c r="A18" s="4" t="s">
        <v>25</v>
      </c>
      <c r="B18" s="8" t="s">
        <v>26</v>
      </c>
      <c r="C18" s="9">
        <f>0.25185+0.00000039158*($F$4+$F$5)</f>
        <v>0.34269656000000004</v>
      </c>
      <c r="D18" s="10">
        <f>0.0063394*SQRT(1+1/17+($F$4+$F$5-203980)^2/(15*17009^2))</f>
        <v>0.0070585280272115365</v>
      </c>
      <c r="E18" s="9">
        <f>C18-TINV(0.05,15)*D18</f>
        <v>0.3276516543956168</v>
      </c>
      <c r="F18" s="9">
        <f>C18+TINV(0.05,15)*D18</f>
        <v>0.3577414656043833</v>
      </c>
      <c r="G18" s="11">
        <f>C18*($F$4+$F$5)</f>
        <v>79505.60192000002</v>
      </c>
      <c r="H18" s="11">
        <f>E18*($F$4+$F$5)</f>
        <v>76015.1838197831</v>
      </c>
      <c r="I18" s="11">
        <f>F18*($F$4+$F$5)</f>
        <v>82996.02002021692</v>
      </c>
      <c r="J18" s="12" t="s">
        <v>27</v>
      </c>
      <c r="K18" s="12" t="s">
        <v>27</v>
      </c>
      <c r="L18" s="12" t="s">
        <v>27</v>
      </c>
    </row>
    <row r="19" spans="1:12" s="1" customFormat="1" ht="12.75">
      <c r="A19" s="4" t="s">
        <v>28</v>
      </c>
      <c r="B19" s="8" t="s">
        <v>29</v>
      </c>
      <c r="C19" s="9">
        <f>1-C18</f>
        <v>0.65730344</v>
      </c>
      <c r="D19" s="10" t="s">
        <v>27</v>
      </c>
      <c r="E19" s="9">
        <f>C19-TINV(0.05,16)*D18</f>
        <v>0.6423400324089544</v>
      </c>
      <c r="F19" s="9">
        <f>C19+TINV(0.05,15)*D18</f>
        <v>0.6723483456043833</v>
      </c>
      <c r="G19" s="11">
        <f>C19*($F$4+$F$5)</f>
        <v>152494.39807999998</v>
      </c>
      <c r="H19" s="11">
        <f>E19*($F$4+$F$5)</f>
        <v>149022.88751887743</v>
      </c>
      <c r="I19" s="11">
        <f>F19*($F$4+$F$5)</f>
        <v>155984.81618021693</v>
      </c>
      <c r="J19" s="12" t="s">
        <v>27</v>
      </c>
      <c r="K19" s="12" t="s">
        <v>27</v>
      </c>
      <c r="L19" s="12" t="s">
        <v>27</v>
      </c>
    </row>
    <row r="20" spans="1:12" s="1" customFormat="1" ht="12.75">
      <c r="A20" s="4" t="s">
        <v>30</v>
      </c>
      <c r="B20" s="8" t="s">
        <v>31</v>
      </c>
      <c r="C20" s="9">
        <f>0.87708-0.00000028634*($F$4+$F$5+$F$6+$F$7)</f>
        <v>0.8097901</v>
      </c>
      <c r="D20" s="10">
        <f>0.0047136*SQRT(1+1/19+($F$4+$F$5+$F$6+$F$7-200475)^2/(17*18444^2))</f>
        <v>0.005288369165953938</v>
      </c>
      <c r="E20" s="9">
        <f>C20-TINV(0.05,17)*D20</f>
        <v>0.7986326007701653</v>
      </c>
      <c r="F20" s="9">
        <f>C20+TINV(0.05,17)*D20</f>
        <v>0.8209475992298346</v>
      </c>
      <c r="G20" s="11">
        <f>C20*($F$4+$F$5+$F$6+$F$7)</f>
        <v>190300.6735</v>
      </c>
      <c r="H20" s="11">
        <f aca="true" t="shared" si="1" ref="H20:I23">E20*($F$4+$F$5+$F$6+$F$7)</f>
        <v>187678.66118098886</v>
      </c>
      <c r="I20" s="11">
        <f t="shared" si="1"/>
        <v>192922.68581901112</v>
      </c>
      <c r="J20" s="12" t="s">
        <v>27</v>
      </c>
      <c r="K20" s="12" t="s">
        <v>27</v>
      </c>
      <c r="L20" s="12" t="s">
        <v>27</v>
      </c>
    </row>
    <row r="21" spans="1:12" s="1" customFormat="1" ht="12.75">
      <c r="A21" s="4" t="s">
        <v>32</v>
      </c>
      <c r="B21" s="8" t="s">
        <v>33</v>
      </c>
      <c r="C21" s="9">
        <f>1-C20</f>
        <v>0.19020990000000004</v>
      </c>
      <c r="D21" s="10" t="s">
        <v>27</v>
      </c>
      <c r="E21" s="9">
        <f>C21-TINV(0.05,17)*D20</f>
        <v>0.17905240077016538</v>
      </c>
      <c r="F21" s="9">
        <f>C21+TINV(0.05,17)*D20</f>
        <v>0.2013673992298347</v>
      </c>
      <c r="G21" s="13">
        <f>C21*($F$4+$F$5+$F$6+$F$7)</f>
        <v>44699.32650000001</v>
      </c>
      <c r="H21" s="13">
        <f t="shared" si="1"/>
        <v>42077.31418098886</v>
      </c>
      <c r="I21" s="13">
        <f t="shared" si="1"/>
        <v>47321.33881901116</v>
      </c>
      <c r="J21" s="12" t="s">
        <v>27</v>
      </c>
      <c r="K21" s="12" t="s">
        <v>27</v>
      </c>
      <c r="L21" s="12" t="s">
        <v>27</v>
      </c>
    </row>
    <row r="22" spans="1:12" s="1" customFormat="1" ht="12.75">
      <c r="A22" s="4" t="s">
        <v>34</v>
      </c>
      <c r="B22" s="8" t="s">
        <v>35</v>
      </c>
      <c r="C22" s="9">
        <f>0.00000021066*($F$4+$F$5+$F$6+$F$7)</f>
        <v>0.0495051</v>
      </c>
      <c r="D22" s="10">
        <f>0.0032261*SQRT(1+1/17+($F$4+$F$5+$F$6+$F$7-203980)^2/(16*14829^2))</f>
        <v>0.0037237531390611435</v>
      </c>
      <c r="E22" s="9">
        <f>C22-TINV(0.05,16)*D22</f>
        <v>0.04161109776987505</v>
      </c>
      <c r="F22" s="9">
        <f>C22+TINV(0.05,16)*D22</f>
        <v>0.057399102230124954</v>
      </c>
      <c r="G22" s="11">
        <f>C22*($F$4+$F$5+$F$6+$F$7)</f>
        <v>11633.6985</v>
      </c>
      <c r="H22" s="11">
        <f t="shared" si="1"/>
        <v>9778.607975920637</v>
      </c>
      <c r="I22" s="11">
        <f t="shared" si="1"/>
        <v>13488.789024079364</v>
      </c>
      <c r="J22" s="12" t="s">
        <v>27</v>
      </c>
      <c r="K22" s="12" t="s">
        <v>27</v>
      </c>
      <c r="L22" s="12" t="s">
        <v>27</v>
      </c>
    </row>
    <row r="23" spans="1:12" s="1" customFormat="1" ht="12.75">
      <c r="A23" s="4" t="s">
        <v>36</v>
      </c>
      <c r="B23" s="8" t="s">
        <v>37</v>
      </c>
      <c r="C23" s="9">
        <f>1-C22</f>
        <v>0.9504949</v>
      </c>
      <c r="D23" s="10" t="s">
        <v>27</v>
      </c>
      <c r="E23" s="9">
        <f>C23-TINV(0.05,16)*D22</f>
        <v>0.9426008977698751</v>
      </c>
      <c r="F23" s="9">
        <f>C23+TINV(0.05,16)*D22</f>
        <v>0.958388902230125</v>
      </c>
      <c r="G23" s="11">
        <f>C23*($F$4+$F$5+$F$6+$F$5)</f>
        <v>223366.3015</v>
      </c>
      <c r="H23" s="11">
        <f t="shared" si="1"/>
        <v>221511.21097592064</v>
      </c>
      <c r="I23" s="11">
        <f t="shared" si="1"/>
        <v>225221.39202407937</v>
      </c>
      <c r="J23" s="12" t="s">
        <v>27</v>
      </c>
      <c r="K23" s="12" t="s">
        <v>27</v>
      </c>
      <c r="L23" s="12" t="s">
        <v>27</v>
      </c>
    </row>
    <row r="24" spans="1:12" s="1" customFormat="1" ht="12.75">
      <c r="A24" s="4" t="s">
        <v>38</v>
      </c>
      <c r="B24" s="8" t="s">
        <v>39</v>
      </c>
      <c r="C24" s="9">
        <f>0.54859-0.00000046909*G23</f>
        <v>0.44381110162936505</v>
      </c>
      <c r="D24" s="10">
        <f>0.011858*SQRT(1+1/16+(G23-191419)^2/(14*14682^2))</f>
        <v>0.014034067515811228</v>
      </c>
      <c r="E24" s="9">
        <f>C24-TINV(0.05,14)*D24</f>
        <v>0.4137109936713628</v>
      </c>
      <c r="F24" s="9">
        <f>C24+TINV(0.05,14)*D24</f>
        <v>0.47391120958736727</v>
      </c>
      <c r="G24" s="11">
        <f>C24*G23</f>
        <v>99132.44433559189</v>
      </c>
      <c r="H24" s="11">
        <f>E24*G23</f>
        <v>92409.09454626222</v>
      </c>
      <c r="I24" s="11">
        <f>F24*G23</f>
        <v>105855.79412492157</v>
      </c>
      <c r="J24" s="9">
        <f>-0.00000007464286*$F$4+1.024914</f>
        <v>1.0077461422</v>
      </c>
      <c r="K24" s="13">
        <f>G$23*(C24-TINV(0.05,14)*D24*SQRT(J24))</f>
        <v>92383.10476753801</v>
      </c>
      <c r="L24" s="13">
        <f>G$23*(C24+TINV(0.05,14)*D24*SQRT(J24))</f>
        <v>105881.78390364579</v>
      </c>
    </row>
    <row r="25" spans="1:12" s="1" customFormat="1" ht="12.75">
      <c r="A25" s="4" t="s">
        <v>40</v>
      </c>
      <c r="B25" s="8" t="s">
        <v>41</v>
      </c>
      <c r="C25" s="9">
        <f>0.24258+0.00000059493*G23</f>
        <v>0.37546731375139497</v>
      </c>
      <c r="D25" s="10">
        <f>0.008936*SQRT(1+1/16+(G23-191419)^2/(14*14682^2))</f>
        <v>0.010575849833132832</v>
      </c>
      <c r="E25" s="9">
        <f>C25-TINV(0.05,14)*D25</f>
        <v>0.3527843516403554</v>
      </c>
      <c r="F25" s="9">
        <f>C25+TINV(0.05,14)*D25</f>
        <v>0.39815027586243457</v>
      </c>
      <c r="G25" s="11">
        <f>C25*G23</f>
        <v>83866.74520678919</v>
      </c>
      <c r="H25" s="11">
        <f>E25*G23</f>
        <v>78800.13585298164</v>
      </c>
      <c r="I25" s="11">
        <f>F25*G23</f>
        <v>88933.35456059674</v>
      </c>
      <c r="J25" s="9">
        <f>0.00000009071429*$F$4+1.010914</f>
        <v>1.0317782867</v>
      </c>
      <c r="K25" s="13">
        <f>G$23*(C25-TINV(0.05,14)*D25*SQRT(J25))</f>
        <v>78720.26137633702</v>
      </c>
      <c r="L25" s="13">
        <f>G$23*(C25+TINV(0.05,14)*D25*SQRT(J25))</f>
        <v>89013.22903724136</v>
      </c>
    </row>
    <row r="26" spans="1:12" s="1" customFormat="1" ht="12.75">
      <c r="A26" s="4" t="s">
        <v>42</v>
      </c>
      <c r="B26" s="8" t="s">
        <v>43</v>
      </c>
      <c r="C26" s="9">
        <f>1-C24-C25</f>
        <v>0.18072158461923993</v>
      </c>
      <c r="D26" s="10">
        <f>0.010047*SQRT(1+1/16+(G23-191419)^2/(14*14682^2))</f>
        <v>0.01189072999927099</v>
      </c>
      <c r="E26" s="9">
        <f>C26-TINV(0.05,14)*D26</f>
        <v>0.1552184825232669</v>
      </c>
      <c r="F26" s="9">
        <f>C26+TINV(0.05,14)*D26</f>
        <v>0.20622468671521296</v>
      </c>
      <c r="G26" s="11">
        <f>C26*G23</f>
        <v>40367.11195761891</v>
      </c>
      <c r="H26" s="11">
        <f>E26*G23</f>
        <v>34670.578365664514</v>
      </c>
      <c r="I26" s="11">
        <f>F26*G23</f>
        <v>46063.6455495733</v>
      </c>
      <c r="J26" s="9">
        <f>0.0000000000000952381*$F$4^2-0.0000000438095*$F$4+1.00763</f>
        <v>1.00259191049</v>
      </c>
      <c r="K26" s="13">
        <f>G$23*(C26-TINV(0.05,14)*D26*SQRT(J26))</f>
        <v>34663.20069055238</v>
      </c>
      <c r="L26" s="13">
        <f>G$23*(C26+TINV(0.05,14)*D26*SQRT(J26))</f>
        <v>46071.023224685436</v>
      </c>
    </row>
    <row r="27" spans="1:12" s="1" customFormat="1" ht="12.75">
      <c r="A27" s="4" t="s">
        <v>44</v>
      </c>
      <c r="B27" s="8" t="s">
        <v>45</v>
      </c>
      <c r="C27" s="9">
        <f>1-C28-C29</f>
        <v>0.08057999999999998</v>
      </c>
      <c r="D27" s="10">
        <v>0.01</v>
      </c>
      <c r="E27" s="9">
        <f>C27-TINV(0.05,16)*D27</f>
        <v>0.05938095179425551</v>
      </c>
      <c r="F27" s="9">
        <f>C27+TINV(0.05,16)*D27</f>
        <v>0.10177904820574446</v>
      </c>
      <c r="G27" s="11">
        <f>C27*G24</f>
        <v>7988.092364561993</v>
      </c>
      <c r="H27" s="11">
        <f>E27*G24</f>
        <v>5886.5788983385</v>
      </c>
      <c r="I27" s="11">
        <f>F27*G24</f>
        <v>10089.605830785487</v>
      </c>
      <c r="J27" s="9">
        <f>0.00000000001279762*$F$4^2-0.000004992262*$F$4+1.53538</f>
        <v>1.064153838</v>
      </c>
      <c r="K27" s="11">
        <f>$G$24*(C27-TINV(0.05,16)*D27*SQRT(J27))</f>
        <v>5820.216625768543</v>
      </c>
      <c r="L27" s="11">
        <f>$G$24*(C27+TINV(0.05,16)*D27*SQRT(J27))</f>
        <v>10155.968103355443</v>
      </c>
    </row>
    <row r="28" spans="1:12" s="1" customFormat="1" ht="12.75">
      <c r="A28" s="4" t="s">
        <v>46</v>
      </c>
      <c r="B28" s="8" t="s">
        <v>47</v>
      </c>
      <c r="C28" s="9">
        <v>0.54025</v>
      </c>
      <c r="D28" s="10">
        <f>0.02284</f>
        <v>0.02284</v>
      </c>
      <c r="E28" s="9">
        <f>C28-TINV(0.05,16)*D28</f>
        <v>0.4918313738980796</v>
      </c>
      <c r="F28" s="9">
        <f>C28+TINV(0.05,16)*D28</f>
        <v>0.5886686261019204</v>
      </c>
      <c r="G28" s="11">
        <f>C28*G24</f>
        <v>53556.30305230352</v>
      </c>
      <c r="H28" s="11">
        <f>E28*G24</f>
        <v>48756.44629544906</v>
      </c>
      <c r="I28" s="11">
        <f>F28*G24</f>
        <v>58356.15980915798</v>
      </c>
      <c r="J28" s="9">
        <f>0.0000000001081905*$F$4^2-0.00004214905*$F$4+5.5148</f>
        <v>1.543795949999999</v>
      </c>
      <c r="K28" s="11">
        <f>$G$24*(C28-TINV(0.05,16)*D28*SQRT(J28))</f>
        <v>47592.50092672355</v>
      </c>
      <c r="L28" s="11">
        <f>$G$24*(C28+TINV(0.05,16)*D28*SQRT(J28))</f>
        <v>59520.10517788349</v>
      </c>
    </row>
    <row r="29" spans="1:12" s="1" customFormat="1" ht="12.75">
      <c r="A29" s="4" t="s">
        <v>48</v>
      </c>
      <c r="B29" s="8" t="s">
        <v>49</v>
      </c>
      <c r="C29" s="9">
        <v>0.37917</v>
      </c>
      <c r="D29" s="10">
        <f>0.02782</f>
        <v>0.02782</v>
      </c>
      <c r="E29" s="9">
        <f>C29-TINV(0.05,16)*D29</f>
        <v>0.3201942478916189</v>
      </c>
      <c r="F29" s="9">
        <f>C29+TINV(0.05,16)*D29</f>
        <v>0.43814575210838114</v>
      </c>
      <c r="G29" s="11">
        <f>C29*G24</f>
        <v>37588.04891872638</v>
      </c>
      <c r="H29" s="11">
        <f>E29*G24</f>
        <v>31741.63845569262</v>
      </c>
      <c r="I29" s="11">
        <f>F29*G24</f>
        <v>43434.459381760134</v>
      </c>
      <c r="J29" s="9">
        <f>0.00000000003716667*$F$4^2-0.00001450881*$F$4+2.55218</f>
        <v>1.1812705430000003</v>
      </c>
      <c r="K29" s="11">
        <f>$G$24*(C29-TINV(0.05,16)*D29*SQRT(J29))</f>
        <v>31233.803418973243</v>
      </c>
      <c r="L29" s="11">
        <f>$G$24*(C29+TINV(0.05,16)*D29*SQRT(J29))</f>
        <v>43942.29441847951</v>
      </c>
    </row>
    <row r="30" spans="1:12" s="1" customFormat="1" ht="6" customHeight="1">
      <c r="A30" s="2"/>
      <c r="B30" s="2"/>
      <c r="C30" s="2"/>
      <c r="D30" s="2"/>
      <c r="E30" s="2"/>
      <c r="F30" s="2"/>
      <c r="G30" s="2"/>
      <c r="H30" s="2"/>
      <c r="I30" s="2"/>
      <c r="J30" s="2"/>
      <c r="K30" s="2"/>
      <c r="L30" s="2"/>
    </row>
    <row r="31" spans="1:12" s="1" customFormat="1" ht="12.75">
      <c r="A31" s="7" t="s">
        <v>50</v>
      </c>
      <c r="B31" s="2"/>
      <c r="C31" s="2"/>
      <c r="D31" s="2"/>
      <c r="E31" s="2"/>
      <c r="F31" s="2"/>
      <c r="G31" s="2"/>
      <c r="H31" s="2"/>
      <c r="I31" s="2"/>
      <c r="J31" s="2"/>
      <c r="K31" s="2"/>
      <c r="L31" s="2"/>
    </row>
    <row r="32" spans="1:12" s="1" customFormat="1" ht="12.75">
      <c r="A32" s="4" t="s">
        <v>51</v>
      </c>
      <c r="B32" s="8" t="s">
        <v>52</v>
      </c>
      <c r="C32" s="9">
        <f>0.73503</f>
        <v>0.73503</v>
      </c>
      <c r="D32" s="10">
        <v>0.0094509</v>
      </c>
      <c r="E32" s="9">
        <f>C32-TINV(0.05,18)*D32</f>
        <v>0.7151743805235976</v>
      </c>
      <c r="F32" s="9">
        <f>C32+TINV(0.05,18)*D32</f>
        <v>0.7548856194764023</v>
      </c>
      <c r="G32" s="11">
        <f>C32*SUM(F4:F11)</f>
        <v>188902.71</v>
      </c>
      <c r="H32" s="11">
        <f>E32*SUM(F4:F11)</f>
        <v>183799.81579456458</v>
      </c>
      <c r="I32" s="11">
        <f>F32*SUM(F4:F11)</f>
        <v>194005.6042054354</v>
      </c>
      <c r="J32" s="12" t="s">
        <v>27</v>
      </c>
      <c r="K32" s="12" t="s">
        <v>27</v>
      </c>
      <c r="L32" s="12" t="s">
        <v>27</v>
      </c>
    </row>
    <row r="33" spans="1:12" s="1" customFormat="1" ht="12.75">
      <c r="A33" s="4" t="s">
        <v>53</v>
      </c>
      <c r="B33" s="8" t="s">
        <v>54</v>
      </c>
      <c r="C33" s="9">
        <f>1-C32</f>
        <v>0.26497000000000004</v>
      </c>
      <c r="D33" s="10" t="s">
        <v>27</v>
      </c>
      <c r="E33" s="9">
        <f>C33-TINV(0.05,18)*D32</f>
        <v>0.24511438052359769</v>
      </c>
      <c r="F33" s="9">
        <f>C33+TINV(0.05,18)*D32</f>
        <v>0.2848256194764024</v>
      </c>
      <c r="G33" s="11">
        <f>C33*SUM(F4:F11)</f>
        <v>68097.29000000001</v>
      </c>
      <c r="H33" s="11">
        <f>E33*SUM(F4:F11)</f>
        <v>62994.3957945646</v>
      </c>
      <c r="I33" s="11">
        <f>F33*SUM(F4:F11)</f>
        <v>73200.18420543542</v>
      </c>
      <c r="J33" s="12" t="s">
        <v>27</v>
      </c>
      <c r="K33" s="12" t="s">
        <v>27</v>
      </c>
      <c r="L33" s="12" t="s">
        <v>27</v>
      </c>
    </row>
    <row r="34" spans="1:12" s="1" customFormat="1" ht="12.75">
      <c r="A34" s="4" t="s">
        <v>55</v>
      </c>
      <c r="B34" s="8" t="s">
        <v>56</v>
      </c>
      <c r="C34" s="9">
        <f>0.21262+0.00000050612*SUM(F4:F11)</f>
        <v>0.34269284</v>
      </c>
      <c r="D34" s="10">
        <f>0.007104*SQRT(1+1/17+(SUM(F4:F11)-214900)^2/(17*16096^2))</f>
        <v>0.008587450049984135</v>
      </c>
      <c r="E34" s="9">
        <f>C34-TINV(0.05,17)*D34</f>
        <v>0.32457487880776953</v>
      </c>
      <c r="F34" s="9">
        <f>C34+TINV(0.05,17)*D34</f>
        <v>0.36081080119223047</v>
      </c>
      <c r="G34" s="11">
        <f>C34*SUM(F4:F11)</f>
        <v>88072.05988</v>
      </c>
      <c r="H34" s="11">
        <f>E34*SUM(F4:F11)</f>
        <v>83415.74385359677</v>
      </c>
      <c r="I34" s="11">
        <f>F34*SUM(F4:F11)</f>
        <v>92728.37590640323</v>
      </c>
      <c r="J34" s="12" t="s">
        <v>27</v>
      </c>
      <c r="K34" s="12" t="s">
        <v>27</v>
      </c>
      <c r="L34" s="12" t="s">
        <v>27</v>
      </c>
    </row>
    <row r="35" spans="1:12" s="1" customFormat="1" ht="12.75">
      <c r="A35" s="4" t="s">
        <v>57</v>
      </c>
      <c r="B35" s="8" t="s">
        <v>58</v>
      </c>
      <c r="C35" s="9">
        <f>1-C34</f>
        <v>0.65730716</v>
      </c>
      <c r="D35" s="10" t="s">
        <v>27</v>
      </c>
      <c r="E35" s="9">
        <f>C35-TINV(0.05,17)*D34</f>
        <v>0.6391891988077696</v>
      </c>
      <c r="F35" s="9">
        <f>C35+TINV(0.05,17)*D34</f>
        <v>0.6754251211922304</v>
      </c>
      <c r="G35" s="11">
        <f>C35*SUM(F4:F11)</f>
        <v>168927.94012</v>
      </c>
      <c r="H35" s="11">
        <f>E35*SUM(F4:F10)</f>
        <v>162993.24569598126</v>
      </c>
      <c r="I35" s="11">
        <f>F35*SUM(F4:F11)</f>
        <v>173584.2561464032</v>
      </c>
      <c r="J35" s="12" t="s">
        <v>27</v>
      </c>
      <c r="K35" s="12" t="s">
        <v>27</v>
      </c>
      <c r="L35" s="12" t="s">
        <v>27</v>
      </c>
    </row>
    <row r="36" spans="1:12" s="1" customFormat="1" ht="12.75">
      <c r="A36" s="4" t="s">
        <v>59</v>
      </c>
      <c r="B36" s="8" t="s">
        <v>60</v>
      </c>
      <c r="C36" s="9">
        <v>0.2613</v>
      </c>
      <c r="D36" s="10">
        <v>0.007224</v>
      </c>
      <c r="E36" s="9">
        <f>C36-TINV(0.05,17)*D36</f>
        <v>0.24605867098022716</v>
      </c>
      <c r="F36" s="9">
        <f>C36+TINV(0.05,17)*D36</f>
        <v>0.2765413290197728</v>
      </c>
      <c r="G36" s="11">
        <f>C36*SUM(F$4:F$12)</f>
        <v>67676.7</v>
      </c>
      <c r="H36" s="11">
        <f>E36*SUM(F$4:F$12)</f>
        <v>63729.19578387884</v>
      </c>
      <c r="I36" s="11">
        <f>F36*SUM(F$4:F$12)</f>
        <v>71624.20421612116</v>
      </c>
      <c r="J36" s="12" t="s">
        <v>27</v>
      </c>
      <c r="K36" s="12" t="s">
        <v>27</v>
      </c>
      <c r="L36" s="12" t="s">
        <v>27</v>
      </c>
    </row>
    <row r="37" spans="1:12" s="1" customFormat="1" ht="12.75">
      <c r="A37" s="4" t="s">
        <v>61</v>
      </c>
      <c r="B37" s="8" t="s">
        <v>62</v>
      </c>
      <c r="C37" s="9">
        <f>0.55823-0.00000018722*SUM(F4:F12)</f>
        <v>0.50974002</v>
      </c>
      <c r="D37" s="10">
        <f>0.005641*SQRT(1+1/18+(SUM(F4:F12)-212320)^2/(16*23002^2))</f>
        <v>0.006463701700256192</v>
      </c>
      <c r="E37" s="9">
        <f>C37-TINV(0.05,16)*D37</f>
        <v>0.4960375876068716</v>
      </c>
      <c r="F37" s="9">
        <f>C37+TINV(0.05,17)*D37</f>
        <v>0.5233772575829553</v>
      </c>
      <c r="G37" s="11">
        <f>C37*SUM(F$4:F$12)</f>
        <v>132022.66517999998</v>
      </c>
      <c r="H37" s="11">
        <f>E37*SUM(F$4:F$12)</f>
        <v>128473.73519017975</v>
      </c>
      <c r="I37" s="11">
        <f>F37*SUM(F$4:F$12)</f>
        <v>135554.70971398542</v>
      </c>
      <c r="J37" s="12" t="s">
        <v>27</v>
      </c>
      <c r="K37" s="12" t="s">
        <v>27</v>
      </c>
      <c r="L37" s="12" t="s">
        <v>27</v>
      </c>
    </row>
    <row r="38" spans="1:12" s="1" customFormat="1" ht="12.75">
      <c r="A38" s="4" t="s">
        <v>63</v>
      </c>
      <c r="B38" s="8" t="s">
        <v>64</v>
      </c>
      <c r="C38" s="9">
        <f>1-C36-C37</f>
        <v>0.22895998000000006</v>
      </c>
      <c r="D38" s="10">
        <v>0.0046927</v>
      </c>
      <c r="E38" s="9">
        <f>C38-TINV(0.05,16)*D38</f>
        <v>0.21901190264849035</v>
      </c>
      <c r="F38" s="9">
        <f>C38+TINV(0.05,16)*D38</f>
        <v>0.23890805735150977</v>
      </c>
      <c r="G38" s="11">
        <f>C38*SUM(F$4:F$12)</f>
        <v>59300.634820000014</v>
      </c>
      <c r="H38" s="11">
        <f>E38*SUM(F$4:F$12)</f>
        <v>56724.082785959</v>
      </c>
      <c r="I38" s="11">
        <f>F38*SUM(F$4:F$12)</f>
        <v>61877.18685404103</v>
      </c>
      <c r="J38" s="12" t="s">
        <v>27</v>
      </c>
      <c r="K38" s="12" t="s">
        <v>27</v>
      </c>
      <c r="L38" s="12" t="s">
        <v>27</v>
      </c>
    </row>
    <row r="39" spans="1:12" s="1" customFormat="1" ht="12.75">
      <c r="A39" s="4" t="s">
        <v>65</v>
      </c>
      <c r="B39" s="8" t="s">
        <v>66</v>
      </c>
      <c r="C39" s="9">
        <v>0.22156</v>
      </c>
      <c r="D39" s="10">
        <v>0.0099257</v>
      </c>
      <c r="E39" s="9">
        <f>C39-TINV(0.05,16)*D39</f>
        <v>0.2005184607224242</v>
      </c>
      <c r="F39" s="9">
        <f>C39+TINV(0.05,16)*D39</f>
        <v>0.2426015392775758</v>
      </c>
      <c r="G39" s="11">
        <f>C39*SUM($F$4:$F$12)</f>
        <v>57384.04</v>
      </c>
      <c r="H39" s="11">
        <f aca="true" t="shared" si="2" ref="H39:I42">E39*SUM($F$4:$F$12)</f>
        <v>51934.28132710787</v>
      </c>
      <c r="I39" s="11">
        <f t="shared" si="2"/>
        <v>62833.79867289213</v>
      </c>
      <c r="J39" s="12" t="s">
        <v>27</v>
      </c>
      <c r="K39" s="12" t="s">
        <v>27</v>
      </c>
      <c r="L39" s="12" t="s">
        <v>27</v>
      </c>
    </row>
    <row r="40" spans="1:12" s="1" customFormat="1" ht="12.75">
      <c r="A40" s="4" t="s">
        <v>67</v>
      </c>
      <c r="B40" s="8" t="s">
        <v>68</v>
      </c>
      <c r="C40" s="9">
        <f>-0.11248+0.00000090129*SUM(F4:F12)</f>
        <v>0.12095411</v>
      </c>
      <c r="D40" s="10">
        <f>0.010892*SQRT(1+1/17+(SUM(F4:F12)-210831)^2/(15*18839^2))</f>
        <v>0.013316176100389992</v>
      </c>
      <c r="E40" s="9">
        <f>C40-TINV(0.05,15)*D40</f>
        <v>0.09257133505466109</v>
      </c>
      <c r="F40" s="9">
        <f>C40+TINV(0.05,15)*D40</f>
        <v>0.14933688494533892</v>
      </c>
      <c r="G40" s="11">
        <f>C40*SUM($F$4:$F$12)</f>
        <v>31327.11449</v>
      </c>
      <c r="H40" s="11">
        <f t="shared" si="2"/>
        <v>23975.975779157223</v>
      </c>
      <c r="I40" s="11">
        <f t="shared" si="2"/>
        <v>38678.25320084278</v>
      </c>
      <c r="J40" s="12" t="s">
        <v>27</v>
      </c>
      <c r="K40" s="12" t="s">
        <v>27</v>
      </c>
      <c r="L40" s="12" t="s">
        <v>27</v>
      </c>
    </row>
    <row r="41" spans="1:12" s="1" customFormat="1" ht="12.75">
      <c r="A41" s="4" t="s">
        <v>69</v>
      </c>
      <c r="B41" s="8" t="s">
        <v>70</v>
      </c>
      <c r="C41" s="9">
        <f>0.34521-0.00000044833*SUM(F4:F12)</f>
        <v>0.22909253000000002</v>
      </c>
      <c r="D41" s="10">
        <f>0.0088991*SQRT(1+1/17+(SUM(F4:F12)-210831)^2/(15*18839^2))</f>
        <v>0.01087972665580064</v>
      </c>
      <c r="E41" s="9">
        <f>C41-TINV(0.05,15)*D41</f>
        <v>0.20590292730847728</v>
      </c>
      <c r="F41" s="9">
        <f>C41+TINV(0.05,15)*D41</f>
        <v>0.2522821326915228</v>
      </c>
      <c r="G41" s="11">
        <f>C41*SUM($F$4:$F$12)</f>
        <v>59334.96527000001</v>
      </c>
      <c r="H41" s="11">
        <f t="shared" si="2"/>
        <v>53328.85817289562</v>
      </c>
      <c r="I41" s="11">
        <f t="shared" si="2"/>
        <v>65341.072367104396</v>
      </c>
      <c r="J41" s="12" t="s">
        <v>27</v>
      </c>
      <c r="K41" s="12" t="s">
        <v>27</v>
      </c>
      <c r="L41" s="12" t="s">
        <v>27</v>
      </c>
    </row>
    <row r="42" spans="1:12" s="1" customFormat="1" ht="12.75">
      <c r="A42" s="4" t="s">
        <v>71</v>
      </c>
      <c r="B42" s="8" t="s">
        <v>72</v>
      </c>
      <c r="C42" s="9">
        <f>1-SUM(C39:C41)</f>
        <v>0.42839336000000006</v>
      </c>
      <c r="D42" s="10">
        <f>0.010815</f>
        <v>0.010815</v>
      </c>
      <c r="E42" s="9">
        <f>C42-TINV(0.05,16)*D42</f>
        <v>0.4054665893654874</v>
      </c>
      <c r="F42" s="9">
        <f>C42+TINV(0.05,16)*D42</f>
        <v>0.4513201306345127</v>
      </c>
      <c r="G42" s="11">
        <f>C42*SUM($F$4:$F$12)</f>
        <v>110953.88024000001</v>
      </c>
      <c r="H42" s="11">
        <f t="shared" si="2"/>
        <v>105015.84664566124</v>
      </c>
      <c r="I42" s="11">
        <f t="shared" si="2"/>
        <v>116891.91383433879</v>
      </c>
      <c r="J42" s="12" t="s">
        <v>27</v>
      </c>
      <c r="K42" s="12" t="s">
        <v>27</v>
      </c>
      <c r="L42" s="12" t="s">
        <v>27</v>
      </c>
    </row>
    <row r="43" spans="1:12" s="1" customFormat="1" ht="12.75">
      <c r="A43" s="4" t="s">
        <v>73</v>
      </c>
      <c r="B43" s="8" t="s">
        <v>74</v>
      </c>
      <c r="C43" s="9">
        <v>0.24095</v>
      </c>
      <c r="D43" s="10">
        <v>0.018619</v>
      </c>
      <c r="E43" s="9">
        <f>C43-TINV(0.05,15)*D43</f>
        <v>0.20126451651560928</v>
      </c>
      <c r="F43" s="9">
        <f>C43+TINV(0.05,15)*D43</f>
        <v>0.2806354834843907</v>
      </c>
      <c r="G43" s="11">
        <f>C43*G42</f>
        <v>26734.337443828004</v>
      </c>
      <c r="H43" s="11">
        <f>E43*G42</f>
        <v>22331.079062034416</v>
      </c>
      <c r="I43" s="11">
        <f>F43*G42</f>
        <v>31137.59582562159</v>
      </c>
      <c r="J43" s="9">
        <f>0.00000000000761905*$F$4^2-0.00000287476*$F$4+1.37197</f>
        <v>1.113822945</v>
      </c>
      <c r="K43" s="11">
        <f>$G$42*(C43-TINV(0.05,15)*$D$43*SQRT(J43))</f>
        <v>22087.234956010205</v>
      </c>
      <c r="L43" s="11">
        <f>$G$42*(C43+TINV(0.05,15)*$D$43*SQRT(J43))</f>
        <v>31381.4399316458</v>
      </c>
    </row>
    <row r="44" spans="1:12" s="1" customFormat="1" ht="12.75">
      <c r="A44" s="4" t="s">
        <v>75</v>
      </c>
      <c r="B44" s="8" t="s">
        <v>76</v>
      </c>
      <c r="C44" s="9">
        <f>1-C43</f>
        <v>0.75905</v>
      </c>
      <c r="D44" s="9" t="s">
        <v>27</v>
      </c>
      <c r="E44" s="9">
        <f>C44-TINV(0.05,15)*D43</f>
        <v>0.7193645165156093</v>
      </c>
      <c r="F44" s="9">
        <f>C44+TINV(0.05,15)*D43</f>
        <v>0.7987354834843907</v>
      </c>
      <c r="G44" s="11">
        <f>C44*G42</f>
        <v>84219.54279617201</v>
      </c>
      <c r="H44" s="11">
        <f>E44*G42</f>
        <v>79816.28441437843</v>
      </c>
      <c r="I44" s="11">
        <f>F44*G42</f>
        <v>88622.8011779656</v>
      </c>
      <c r="J44" s="9">
        <f>0.00000000006802381*$F$4^2-0.00002523381*$F$4+4.328143</f>
        <v>2.122826249</v>
      </c>
      <c r="K44" s="11">
        <f>$G$42*(C44-TINV(0.05,15)*$D$43*SQRT(J44))</f>
        <v>77804.02971234758</v>
      </c>
      <c r="L44" s="11">
        <f>$G$42*(C44+TINV(0.05,15)*$D$43*SQRT(J44))</f>
        <v>90635.05587999645</v>
      </c>
    </row>
    <row r="45" spans="1:12" s="1" customFormat="1" ht="12.75">
      <c r="A45" s="4" t="s">
        <v>77</v>
      </c>
      <c r="B45" s="8" t="s">
        <v>78</v>
      </c>
      <c r="C45" s="9">
        <v>0.59822</v>
      </c>
      <c r="D45" s="10">
        <v>0.089521</v>
      </c>
      <c r="E45" s="9">
        <f>C45-TINV(0.05,16)*D45</f>
        <v>0.40844400055735486</v>
      </c>
      <c r="F45" s="9">
        <f>C45+TINV(0.05,16)*D45</f>
        <v>0.7879959994426451</v>
      </c>
      <c r="G45" s="11">
        <f>C45*G43</f>
        <v>15993.015345646789</v>
      </c>
      <c r="H45" s="11">
        <f>E45*G43</f>
        <v>10919.479737807398</v>
      </c>
      <c r="I45" s="11">
        <f>F45*G43</f>
        <v>21066.550953486178</v>
      </c>
      <c r="J45" s="8">
        <v>1.3057</v>
      </c>
      <c r="K45" s="11">
        <f>G43*(C45-TINV(0.05,16)*D45*SQRT(J45))</f>
        <v>10195.626710620381</v>
      </c>
      <c r="L45" s="11">
        <f>G43*(C45+TINV(0.05,16)*D45*SQRT(J45))</f>
        <v>21790.403980673196</v>
      </c>
    </row>
    <row r="46" spans="1:12" s="1" customFormat="1" ht="12.75">
      <c r="A46" s="4" t="s">
        <v>79</v>
      </c>
      <c r="B46" s="8" t="s">
        <v>80</v>
      </c>
      <c r="C46" s="9">
        <f>1-C45</f>
        <v>0.40178</v>
      </c>
      <c r="D46" s="10" t="s">
        <v>27</v>
      </c>
      <c r="E46" s="9">
        <f>C46-TINV(0.05,17)*D45</f>
        <v>0.21290693588329423</v>
      </c>
      <c r="F46" s="9">
        <f>C46+TINV(0.05,17)*D45</f>
        <v>0.5906530641167058</v>
      </c>
      <c r="G46" s="11">
        <f>C46*G43</f>
        <v>10741.322098181216</v>
      </c>
      <c r="H46" s="11">
        <f>E46*G43</f>
        <v>5691.925868035441</v>
      </c>
      <c r="I46" s="11">
        <f>F46*G43</f>
        <v>15790.718328326991</v>
      </c>
      <c r="J46" s="8">
        <v>1.1419</v>
      </c>
      <c r="K46" s="11">
        <f>G43*(C46-TINV(0.05,16)*D45*SQRT(J46))</f>
        <v>5319.756096208372</v>
      </c>
      <c r="L46" s="11">
        <f>G43*(C46+TINV(0.05,16)*D45*SQRT(J46))</f>
        <v>16162.888100154063</v>
      </c>
    </row>
    <row r="47" spans="1:12" s="1" customFormat="1" ht="12.75">
      <c r="A47" s="4" t="s">
        <v>81</v>
      </c>
      <c r="B47" s="8" t="s">
        <v>82</v>
      </c>
      <c r="C47" s="9">
        <v>0.35606</v>
      </c>
      <c r="D47" s="10">
        <v>0.035504</v>
      </c>
      <c r="E47" s="9">
        <f>C47-TINV(0.05,17)*D47</f>
        <v>0.28115300311212427</v>
      </c>
      <c r="F47" s="9">
        <f>C47+TINV(0.05,17)*D47</f>
        <v>0.4309669968878757</v>
      </c>
      <c r="G47" s="11">
        <f>C47*(G41+G45)</f>
        <v>26821.280778007196</v>
      </c>
      <c r="H47" s="11">
        <f>E47*(G41+G45)</f>
        <v>21178.68796846098</v>
      </c>
      <c r="I47" s="11">
        <f>F47*(G41+G45)</f>
        <v>32463.873587553415</v>
      </c>
      <c r="J47" s="9">
        <f>0.000000000016*$F$4^2-0.000005912857*$F$4+1.772343</f>
        <v>1.25878589</v>
      </c>
      <c r="K47" s="11">
        <f>(G41+G45)*(C47-TINV(0.05,17)*D47*SQRT(J47))</f>
        <v>20490.538350494448</v>
      </c>
      <c r="L47" s="11">
        <f>(G41+G45)*(C47+TINV(0.05,17)*D47*SQRT(J47))</f>
        <v>33152.023205519945</v>
      </c>
    </row>
    <row r="48" spans="1:12" s="1" customFormat="1" ht="12.75">
      <c r="A48" s="4" t="s">
        <v>83</v>
      </c>
      <c r="B48" s="8" t="s">
        <v>84</v>
      </c>
      <c r="C48" s="9">
        <f>1-C47</f>
        <v>0.64394</v>
      </c>
      <c r="D48" s="9" t="s">
        <v>27</v>
      </c>
      <c r="E48" s="9">
        <f>C48-TINV(0.05,17)*D47</f>
        <v>0.5690330031121242</v>
      </c>
      <c r="F48" s="9">
        <f>C48+TINV(0.05,17)*D47</f>
        <v>0.7188469968878757</v>
      </c>
      <c r="G48" s="11">
        <f>C48*(G41+G45)</f>
        <v>48506.69983763959</v>
      </c>
      <c r="H48" s="11">
        <f>E48*(G41+G45)</f>
        <v>42864.10702809338</v>
      </c>
      <c r="I48" s="11">
        <f>F48*(G41+G45)</f>
        <v>54149.292647185815</v>
      </c>
      <c r="J48" s="9">
        <f>0.00000000005888095*$F$4^2-0.00002196738*$F$4+3.781957</f>
        <v>1.8442618549999996</v>
      </c>
      <c r="K48" s="11">
        <f>(G41+G45)*(C48-TINV(0.05,17)*D47*SQRT(J48))</f>
        <v>40843.85550750597</v>
      </c>
      <c r="L48" s="11">
        <f>(G41+G45)*(C48+TINV(0.05,17)*D47*SQRT(J48))</f>
        <v>56169.54416777322</v>
      </c>
    </row>
    <row r="49" spans="1:12" s="1" customFormat="1" ht="12.75">
      <c r="A49" s="4" t="s">
        <v>85</v>
      </c>
      <c r="B49" s="8" t="s">
        <v>86</v>
      </c>
      <c r="C49" s="9">
        <f>0.63465+0.0000018888*(G40+G47)</f>
        <v>0.744480688982212</v>
      </c>
      <c r="D49" s="10">
        <f>0.017062*SQRT(1+1/17+(G40+G47-40485)^2/(15*7526^2))</f>
        <v>0.020374953812461065</v>
      </c>
      <c r="E49" s="9">
        <f>C49-TINV(0.05,15)*D49</f>
        <v>0.7010524762414823</v>
      </c>
      <c r="F49" s="9">
        <f>C49+TINV(0.05,15)*D49</f>
        <v>0.7879089017229417</v>
      </c>
      <c r="G49" s="11">
        <f>(G40+G47)*C49</f>
        <v>43290.357372335995</v>
      </c>
      <c r="H49" s="11">
        <f>(G40+G47)*E49</f>
        <v>40765.076492104934</v>
      </c>
      <c r="I49" s="11">
        <f>(G40+G47)*F49</f>
        <v>45815.63825256705</v>
      </c>
      <c r="J49" s="9">
        <f>-0.00007420893*$F$4+26.56141</f>
        <v>9.4933561</v>
      </c>
      <c r="K49" s="11">
        <f>(G40+G47)*(C49-TINV(0.05,15)*D49*SQRT(J49))</f>
        <v>35509.64114315081</v>
      </c>
      <c r="L49" s="11">
        <f>(G40+G47)*(C49+TINV(0.05,15)*D49*SQRT(J49))</f>
        <v>51071.07360152118</v>
      </c>
    </row>
    <row r="50" spans="1:12" s="1" customFormat="1" ht="12.75">
      <c r="A50" s="4" t="s">
        <v>87</v>
      </c>
      <c r="B50" s="8" t="s">
        <v>88</v>
      </c>
      <c r="C50" s="9">
        <f>1-C49</f>
        <v>0.255519311017788</v>
      </c>
      <c r="D50" s="12" t="s">
        <v>27</v>
      </c>
      <c r="E50" s="9">
        <f>C50-TINV(0.05,15)*D49</f>
        <v>0.21209109827705827</v>
      </c>
      <c r="F50" s="9">
        <f>C50+TINV(0.05,15)*D49</f>
        <v>0.29894752375851774</v>
      </c>
      <c r="G50" s="11">
        <f>(G40+G47)*C50</f>
        <v>14858.037895671205</v>
      </c>
      <c r="H50" s="11">
        <f>(G40+G47)*E50</f>
        <v>12332.757015440144</v>
      </c>
      <c r="I50" s="11">
        <f>(G40+G47)*F50</f>
        <v>17383.318775902262</v>
      </c>
      <c r="J50" s="9">
        <f>0.0000000001251429*$F$4^2-0.00006842143*$F$4+10.40646</f>
        <v>1.2895905099999982</v>
      </c>
      <c r="K50" s="11">
        <f>(G40+G47)*(C50-TINV(0.05,15)*D49*SQRT(J50))</f>
        <v>11990.325425690045</v>
      </c>
      <c r="L50" s="11">
        <f>(G40+G47)*(C50+TINV(0.05,15)*D49*SQRT(J50))</f>
        <v>17725.750365652362</v>
      </c>
    </row>
  </sheetData>
  <sheetProtection password="84D9" sheet="1" objects="1" scenarios="1"/>
  <mergeCells count="1">
    <mergeCell ref="K2:K3"/>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workbookViewId="0" topLeftCell="A1">
      <selection activeCell="S44" sqref="S44"/>
    </sheetView>
  </sheetViews>
  <sheetFormatPr defaultColWidth="9.140625" defaultRowHeight="12.75"/>
  <sheetData/>
  <sheetProtection password="84D9"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workbookViewId="0" topLeftCell="A1">
      <selection activeCell="L23" sqref="L23"/>
    </sheetView>
  </sheetViews>
  <sheetFormatPr defaultColWidth="9.140625" defaultRowHeight="12.75"/>
  <sheetData/>
  <sheetProtection password="84D9" sheet="1" objects="1" scenario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B2:B2"/>
  <sheetViews>
    <sheetView showGridLines="0" workbookViewId="0" topLeftCell="A1">
      <selection activeCell="F2" sqref="F2"/>
    </sheetView>
  </sheetViews>
  <sheetFormatPr defaultColWidth="9.140625" defaultRowHeight="12.75"/>
  <sheetData>
    <row r="2" ht="12.75">
      <c r="B2" t="s">
        <v>91</v>
      </c>
    </row>
  </sheetData>
  <sheetProtection password="84D9" sheet="1" objects="1" scenarios="1"/>
  <printOptions/>
  <pageMargins left="0.75" right="0.75" top="1" bottom="1" header="0.5" footer="0.5"/>
  <pageSetup horizontalDpi="600" verticalDpi="600" orientation="portrait" r:id="rId4"/>
  <legacyDrawing r:id="rId3"/>
  <oleObjects>
    <oleObject progId="Word.Document.8" shapeId="4208601" r:id="rId1"/>
    <oleObject progId="Word.Document.8" shapeId="4239780"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Dave Holtschlag</cp:lastModifiedBy>
  <cp:lastPrinted>2001-10-05T12:14:02Z</cp:lastPrinted>
  <dcterms:created xsi:type="dcterms:W3CDTF">2001-10-04T12:41:32Z</dcterms:created>
  <dcterms:modified xsi:type="dcterms:W3CDTF">2001-10-05T12:58:25Z</dcterms:modified>
  <cp:category/>
  <cp:version/>
  <cp:contentType/>
  <cp:contentStatus/>
</cp:coreProperties>
</file>